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carli\Documents\Vehicles\"/>
    </mc:Choice>
  </mc:AlternateContent>
  <xr:revisionPtr revIDLastSave="0" documentId="13_ncr:1_{933E771C-C979-456A-BA2A-8D11700BA056}" xr6:coauthVersionLast="46" xr6:coauthVersionMax="46" xr10:uidLastSave="{00000000-0000-0000-0000-000000000000}"/>
  <bookViews>
    <workbookView xWindow="-110" yWindow="-110" windowWidth="19420" windowHeight="10560" activeTab="1" xr2:uid="{00000000-000D-0000-FFFF-FFFF00000000}"/>
  </bookViews>
  <sheets>
    <sheet name="Bronco Stats" sheetId="1" r:id="rId1"/>
    <sheet name="Vehicle Comparisons" sheetId="2" r:id="rId2"/>
    <sheet name="Sheet2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F22" i="2"/>
  <c r="F23" i="2"/>
  <c r="F24" i="2"/>
  <c r="F25" i="2"/>
  <c r="F26" i="2"/>
  <c r="F11" i="2"/>
  <c r="F12" i="2"/>
  <c r="F13" i="2"/>
  <c r="F14" i="2"/>
  <c r="F15" i="2"/>
  <c r="F16" i="2"/>
  <c r="F17" i="2"/>
  <c r="F18" i="2"/>
  <c r="F19" i="2"/>
  <c r="F20" i="2"/>
  <c r="F8" i="2"/>
  <c r="F9" i="2"/>
  <c r="F10" i="2"/>
  <c r="F6" i="2"/>
  <c r="E26" i="2"/>
  <c r="E11" i="2"/>
  <c r="E12" i="2"/>
  <c r="E13" i="2"/>
  <c r="E14" i="2"/>
  <c r="E15" i="2"/>
  <c r="E16" i="2"/>
  <c r="E17" i="2"/>
  <c r="E18" i="2"/>
  <c r="E19" i="2"/>
  <c r="E20" i="2"/>
  <c r="E8" i="2"/>
  <c r="E21" i="2" s="1"/>
  <c r="E9" i="2"/>
  <c r="E23" i="2" s="1"/>
  <c r="E10" i="2"/>
  <c r="E25" i="2" s="1"/>
  <c r="E6" i="2"/>
  <c r="H22" i="2"/>
  <c r="H23" i="2"/>
  <c r="H25" i="2"/>
  <c r="H11" i="2"/>
  <c r="H12" i="2"/>
  <c r="H13" i="2"/>
  <c r="H14" i="2"/>
  <c r="H15" i="2"/>
  <c r="H16" i="2"/>
  <c r="H17" i="2"/>
  <c r="H18" i="2"/>
  <c r="H19" i="2"/>
  <c r="H20" i="2"/>
  <c r="H8" i="2"/>
  <c r="H21" i="2" s="1"/>
  <c r="H9" i="2"/>
  <c r="H24" i="2" s="1"/>
  <c r="H10" i="2"/>
  <c r="H26" i="2" s="1"/>
  <c r="H6" i="2"/>
  <c r="D6" i="2"/>
  <c r="D15" i="2"/>
  <c r="D11" i="2"/>
  <c r="D12" i="2"/>
  <c r="D13" i="2"/>
  <c r="D14" i="2"/>
  <c r="D16" i="2"/>
  <c r="D17" i="2"/>
  <c r="D18" i="2"/>
  <c r="D19" i="2"/>
  <c r="D20" i="2"/>
  <c r="D8" i="2"/>
  <c r="D21" i="2" s="1"/>
  <c r="D9" i="2"/>
  <c r="D24" i="2" s="1"/>
  <c r="D10" i="2"/>
  <c r="D25" i="2" s="1"/>
  <c r="K5" i="2"/>
  <c r="K6" i="2" s="1"/>
  <c r="L11" i="2"/>
  <c r="L12" i="2"/>
  <c r="L13" i="2"/>
  <c r="L14" i="2"/>
  <c r="L15" i="2"/>
  <c r="L16" i="2"/>
  <c r="L17" i="2"/>
  <c r="L18" i="2"/>
  <c r="L19" i="2"/>
  <c r="L20" i="2"/>
  <c r="L8" i="2"/>
  <c r="L21" i="2" s="1"/>
  <c r="L9" i="2"/>
  <c r="L23" i="2" s="1"/>
  <c r="L10" i="2"/>
  <c r="L25" i="2" s="1"/>
  <c r="L6" i="2"/>
  <c r="I11" i="2"/>
  <c r="I12" i="2"/>
  <c r="I13" i="2"/>
  <c r="I14" i="2"/>
  <c r="I15" i="2"/>
  <c r="I16" i="2"/>
  <c r="I17" i="2"/>
  <c r="I18" i="2"/>
  <c r="I19" i="2"/>
  <c r="I20" i="2"/>
  <c r="I8" i="2"/>
  <c r="I22" i="2" s="1"/>
  <c r="I9" i="2"/>
  <c r="I23" i="2" s="1"/>
  <c r="I10" i="2"/>
  <c r="I25" i="2" s="1"/>
  <c r="I6" i="2"/>
  <c r="O13" i="3"/>
  <c r="L13" i="3"/>
  <c r="L11" i="3"/>
  <c r="O11" i="3" s="1"/>
  <c r="E9" i="3"/>
  <c r="I9" i="3"/>
  <c r="L9" i="3" s="1"/>
  <c r="L12" i="3"/>
  <c r="L8" i="3"/>
  <c r="I8" i="3"/>
  <c r="E8" i="3"/>
  <c r="I7" i="3"/>
  <c r="L7" i="3"/>
  <c r="L5" i="3"/>
  <c r="L6" i="3"/>
  <c r="L4" i="3"/>
  <c r="I5" i="3"/>
  <c r="I6" i="3"/>
  <c r="I4" i="3"/>
  <c r="E5" i="3"/>
  <c r="E6" i="3"/>
  <c r="E4" i="3"/>
  <c r="F2" i="3"/>
  <c r="K10" i="2"/>
  <c r="J10" i="2"/>
  <c r="J26" i="2" s="1"/>
  <c r="G10" i="2"/>
  <c r="G25" i="2" s="1"/>
  <c r="C10" i="2"/>
  <c r="C26" i="2" s="1"/>
  <c r="B10" i="2"/>
  <c r="B25" i="2" s="1"/>
  <c r="K9" i="2"/>
  <c r="J9" i="2"/>
  <c r="J24" i="2" s="1"/>
  <c r="K8" i="2"/>
  <c r="J8" i="2"/>
  <c r="J22" i="2" s="1"/>
  <c r="B9" i="2"/>
  <c r="B24" i="2" s="1"/>
  <c r="C9" i="2"/>
  <c r="C23" i="2" s="1"/>
  <c r="G9" i="2"/>
  <c r="G23" i="2" s="1"/>
  <c r="G8" i="2"/>
  <c r="G21" i="2" s="1"/>
  <c r="C8" i="2"/>
  <c r="C21" i="2" s="1"/>
  <c r="B8" i="2"/>
  <c r="B22" i="2" s="1"/>
  <c r="C22" i="2"/>
  <c r="B19" i="2"/>
  <c r="G19" i="2"/>
  <c r="J19" i="2"/>
  <c r="B20" i="2"/>
  <c r="G20" i="2"/>
  <c r="J20" i="2"/>
  <c r="C20" i="2"/>
  <c r="C19" i="2"/>
  <c r="B17" i="2"/>
  <c r="G17" i="2"/>
  <c r="J17" i="2"/>
  <c r="B18" i="2"/>
  <c r="G18" i="2"/>
  <c r="J18" i="2"/>
  <c r="C18" i="2"/>
  <c r="C17" i="2"/>
  <c r="B15" i="2"/>
  <c r="G15" i="2"/>
  <c r="J15" i="2"/>
  <c r="B16" i="2"/>
  <c r="G16" i="2"/>
  <c r="J16" i="2"/>
  <c r="C16" i="2"/>
  <c r="C15" i="2"/>
  <c r="B13" i="2"/>
  <c r="G13" i="2"/>
  <c r="J13" i="2"/>
  <c r="B14" i="2"/>
  <c r="G14" i="2"/>
  <c r="J14" i="2"/>
  <c r="C14" i="2"/>
  <c r="C13" i="2"/>
  <c r="B11" i="2"/>
  <c r="G11" i="2"/>
  <c r="J11" i="2"/>
  <c r="B12" i="2"/>
  <c r="G12" i="2"/>
  <c r="J12" i="2"/>
  <c r="C12" i="2"/>
  <c r="C11" i="2"/>
  <c r="B6" i="2"/>
  <c r="G6" i="2"/>
  <c r="J6" i="2"/>
  <c r="C6" i="2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3" i="1"/>
  <c r="K17" i="1"/>
  <c r="K16" i="1"/>
  <c r="K18" i="1"/>
  <c r="K15" i="1"/>
  <c r="K14" i="1"/>
  <c r="K13" i="1"/>
  <c r="K12" i="1"/>
  <c r="G18" i="1"/>
  <c r="G17" i="1"/>
  <c r="G16" i="1"/>
  <c r="G15" i="1"/>
  <c r="G14" i="1"/>
  <c r="G13" i="1"/>
  <c r="G12" i="1"/>
  <c r="K5" i="1"/>
  <c r="K6" i="1"/>
  <c r="K7" i="1"/>
  <c r="K8" i="1"/>
  <c r="K9" i="1"/>
  <c r="K10" i="1"/>
  <c r="K11" i="1"/>
  <c r="K4" i="1"/>
  <c r="G4" i="1"/>
  <c r="G5" i="1"/>
  <c r="G6" i="1"/>
  <c r="G7" i="1"/>
  <c r="G8" i="1"/>
  <c r="G9" i="1"/>
  <c r="G10" i="1"/>
  <c r="G11" i="1"/>
  <c r="G3" i="1"/>
  <c r="G26" i="2" l="1"/>
  <c r="D26" i="2"/>
  <c r="D23" i="2"/>
  <c r="D22" i="2"/>
  <c r="E24" i="2"/>
  <c r="E22" i="2"/>
  <c r="B26" i="2"/>
  <c r="C24" i="2"/>
  <c r="I26" i="2"/>
  <c r="I24" i="2"/>
  <c r="I21" i="2"/>
  <c r="L26" i="2"/>
  <c r="L24" i="2"/>
  <c r="L22" i="2"/>
  <c r="K25" i="2"/>
  <c r="K21" i="2"/>
  <c r="K23" i="2"/>
  <c r="J21" i="2"/>
  <c r="B21" i="2"/>
  <c r="J23" i="2"/>
  <c r="K22" i="2"/>
  <c r="K26" i="2"/>
  <c r="J25" i="2"/>
  <c r="C25" i="2"/>
  <c r="K24" i="2"/>
  <c r="B23" i="2"/>
  <c r="G24" i="2"/>
  <c r="G22" i="2"/>
  <c r="K13" i="2"/>
  <c r="K18" i="2"/>
  <c r="K17" i="2"/>
  <c r="K12" i="2"/>
  <c r="K11" i="2"/>
  <c r="K16" i="2"/>
  <c r="K15" i="2"/>
  <c r="K20" i="2"/>
  <c r="K14" i="2"/>
  <c r="K1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carli</author>
  </authors>
  <commentList>
    <comment ref="A1" authorId="0" shapeId="0" xr:uid="{95D43657-4C74-4C98-A39B-83AD1E53C277}">
      <text>
        <r>
          <rPr>
            <b/>
            <sz val="9"/>
            <color indexed="81"/>
            <rFont val="Tahoma"/>
            <family val="2"/>
          </rPr>
          <t>carli:</t>
        </r>
        <r>
          <rPr>
            <sz val="9"/>
            <color indexed="81"/>
            <rFont val="Tahoma"/>
            <family val="2"/>
          </rPr>
          <t xml:space="preserve">
Unless noted otherwise these are the latest model available with a manual transmission and 4x4</t>
        </r>
      </text>
    </comment>
    <comment ref="D1" authorId="0" shapeId="0" xr:uid="{BE5BE112-542E-4981-90E0-BE4BB140C32B}">
      <text>
        <r>
          <rPr>
            <b/>
            <sz val="9"/>
            <color indexed="81"/>
            <rFont val="Tahoma"/>
            <family val="2"/>
          </rPr>
          <t>carli:</t>
        </r>
        <r>
          <rPr>
            <sz val="9"/>
            <color indexed="81"/>
            <rFont val="Tahoma"/>
            <family val="2"/>
          </rPr>
          <t xml:space="preserve">
Damian's truck</t>
        </r>
      </text>
    </comment>
    <comment ref="K5" authorId="0" shapeId="0" xr:uid="{94E56C68-3F0B-4FD5-911B-366D5B3F605D}">
      <text>
        <r>
          <rPr>
            <b/>
            <sz val="9"/>
            <color indexed="81"/>
            <rFont val="Tahoma"/>
            <charset val="1"/>
          </rPr>
          <t>Ben:</t>
        </r>
        <r>
          <rPr>
            <sz val="9"/>
            <color indexed="81"/>
            <rFont val="Tahoma"/>
            <charset val="1"/>
          </rPr>
          <t xml:space="preserve">
Published base weight: 4467lbs
MIC top w/headliner and roof rack replacing soft top: (13+17=) 30lbs
Tow package: 50lbs
Locking rear diff: 28lbs</t>
        </r>
      </text>
    </comment>
    <comment ref="A8" authorId="0" shapeId="0" xr:uid="{294B391A-2BFF-4754-8FCE-88EF4BB2D240}">
      <text>
        <r>
          <rPr>
            <b/>
            <sz val="9"/>
            <color indexed="81"/>
            <rFont val="Tahoma"/>
            <charset val="1"/>
          </rPr>
          <t>Ben:</t>
        </r>
        <r>
          <rPr>
            <sz val="9"/>
            <color indexed="81"/>
            <rFont val="Tahoma"/>
            <charset val="1"/>
          </rPr>
          <t xml:space="preserve">
B&amp;C: 400lbs
J&amp;F: 250lbs
Firewood: 50lbs
Bikes: 70lbs
WDH: 80lbs
Hitch &amp; Canoe: 30lbs</t>
        </r>
      </text>
    </comment>
    <comment ref="A9" authorId="0" shapeId="0" xr:uid="{ECA85527-78C7-478A-BF13-2CFCD4DA0793}">
      <text>
        <r>
          <rPr>
            <b/>
            <sz val="9"/>
            <color indexed="81"/>
            <rFont val="Tahoma"/>
            <charset val="1"/>
          </rPr>
          <t>Ben:</t>
        </r>
        <r>
          <rPr>
            <sz val="9"/>
            <color indexed="81"/>
            <rFont val="Tahoma"/>
            <charset val="1"/>
          </rPr>
          <t xml:space="preserve">
B&amp;C: 400lbs
J&amp;F w/seats: 120lbs
Firewood: 50lbs
Bikes: 50lbs
WDH: 80lbs
Hitch &amp; Canoe: 30lbs</t>
        </r>
      </text>
    </comment>
    <comment ref="A10" authorId="0" shapeId="0" xr:uid="{2C257CD1-4D4E-4645-988E-182F5FD1B774}">
      <text>
        <r>
          <rPr>
            <b/>
            <sz val="9"/>
            <color indexed="81"/>
            <rFont val="Tahoma"/>
            <family val="2"/>
          </rPr>
          <t>Ben:</t>
        </r>
        <r>
          <rPr>
            <sz val="9"/>
            <color indexed="81"/>
            <rFont val="Tahoma"/>
            <family val="2"/>
          </rPr>
          <t xml:space="preserve">
Ben: 220lbs
WDH: 80lbs
Gear: 30lbs
Deer: 170lbs</t>
        </r>
      </text>
    </comment>
  </commentList>
</comments>
</file>

<file path=xl/sharedStrings.xml><?xml version="1.0" encoding="utf-8"?>
<sst xmlns="http://schemas.openxmlformats.org/spreadsheetml/2006/main" count="149" uniqueCount="72">
  <si>
    <t>Base</t>
  </si>
  <si>
    <t>7M</t>
  </si>
  <si>
    <t>2-Door</t>
  </si>
  <si>
    <t>4-Door</t>
  </si>
  <si>
    <t>Trim</t>
  </si>
  <si>
    <t>Engine</t>
  </si>
  <si>
    <t>GCWR</t>
  </si>
  <si>
    <t>N/A</t>
  </si>
  <si>
    <t>BB</t>
  </si>
  <si>
    <t>BD</t>
  </si>
  <si>
    <t>BL</t>
  </si>
  <si>
    <t>OBX</t>
  </si>
  <si>
    <t>10A</t>
  </si>
  <si>
    <t>GCWR-BCW-300lbs</t>
  </si>
  <si>
    <t>Base Curb Weight</t>
  </si>
  <si>
    <t>WT</t>
  </si>
  <si>
    <t>FE</t>
  </si>
  <si>
    <t>Trans</t>
  </si>
  <si>
    <t>GVWR</t>
  </si>
  <si>
    <t>(GVWR-BCW-300lbs)/0.1</t>
  </si>
  <si>
    <t>Curb Weight</t>
  </si>
  <si>
    <t>Max Payload</t>
  </si>
  <si>
    <t>Tow Capacity</t>
  </si>
  <si>
    <t>Trim/Configuration</t>
  </si>
  <si>
    <t>Mojave</t>
  </si>
  <si>
    <t>TRD Sport DC</t>
  </si>
  <si>
    <t>TRD Sport AC</t>
  </si>
  <si>
    <t>SV CC</t>
  </si>
  <si>
    <t>2019 Frontier</t>
  </si>
  <si>
    <t>Year/Model</t>
  </si>
  <si>
    <t>2021 Bronco</t>
  </si>
  <si>
    <t>BB 4-Door</t>
  </si>
  <si>
    <t>2021 Gladiator</t>
  </si>
  <si>
    <t>2021 Tacoma</t>
  </si>
  <si>
    <t>Available payload at 5400lbs (Passport GTWR)</t>
  </si>
  <si>
    <t>Available payload at 4500lbs (Passport w/hunting weight)</t>
  </si>
  <si>
    <t>Available payload at 3500lbs (Bronco tow cap)</t>
  </si>
  <si>
    <t>Available payload at 3000lbs (Utility trailer GTWR)</t>
  </si>
  <si>
    <t>Long-term cargo weight</t>
  </si>
  <si>
    <t>Short-term cargo weight</t>
  </si>
  <si>
    <t>Hunting cargo weight</t>
  </si>
  <si>
    <t>Available tow capacity with long-term camping cargo</t>
  </si>
  <si>
    <t>Available tow capacity with short-term camping cargo</t>
  </si>
  <si>
    <t>Available tow capacity with hunting cargo</t>
  </si>
  <si>
    <t>Available payload at 4000lbs (Passport dry/Ws' Wolf Pup)</t>
  </si>
  <si>
    <t xml:space="preserve"> </t>
  </si>
  <si>
    <t>" tires on</t>
  </si>
  <si>
    <t>" rims =</t>
  </si>
  <si>
    <t>mm sidewall height</t>
  </si>
  <si>
    <t>=</t>
  </si>
  <si>
    <t>R17</t>
  </si>
  <si>
    <t>For</t>
  </si>
  <si>
    <t>need</t>
  </si>
  <si>
    <t>aspect ratio =&gt;</t>
  </si>
  <si>
    <t>285/</t>
  </si>
  <si>
    <t>275/</t>
  </si>
  <si>
    <t>265/</t>
  </si>
  <si>
    <t>" diameter</t>
  </si>
  <si>
    <t>255/</t>
  </si>
  <si>
    <t>BB stock tire size is</t>
  </si>
  <si>
    <t>245/</t>
  </si>
  <si>
    <t>Desired summer tire size is</t>
  </si>
  <si>
    <t>Desired winter tire size is</t>
  </si>
  <si>
    <t>off of stock size</t>
  </si>
  <si>
    <t>Sport S</t>
  </si>
  <si>
    <t>Base 2-Door</t>
  </si>
  <si>
    <t>2006 Frontier</t>
  </si>
  <si>
    <t>SE KC</t>
  </si>
  <si>
    <t>Pro-4X CC</t>
  </si>
  <si>
    <t>2015 Frontier</t>
  </si>
  <si>
    <t>SV KC</t>
  </si>
  <si>
    <t>Pro-4X KC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</si>
</sst>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strike/>
      <sz val="11"/>
      <color theme="0" tint="-0.499984740745262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9" fontId="0" fillId="0" borderId="0" xfId="1" applyFont="1"/>
    <xf numFmtId="0" fontId="4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/>
    <xf numFmtId="0" fontId="0" fillId="0" borderId="7" xfId="0" applyBorder="1"/>
    <xf numFmtId="0" fontId="0" fillId="0" borderId="14" xfId="0" applyBorder="1" applyAlignment="1">
      <alignment horizontal="center"/>
    </xf>
    <xf numFmtId="0" fontId="0" fillId="0" borderId="7" xfId="0" applyFill="1" applyBorder="1"/>
    <xf numFmtId="0" fontId="0" fillId="0" borderId="2" xfId="0" applyFill="1" applyBorder="1"/>
    <xf numFmtId="0" fontId="0" fillId="0" borderId="9" xfId="0" applyFill="1" applyBorder="1"/>
    <xf numFmtId="0" fontId="8" fillId="0" borderId="1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9" fillId="0" borderId="1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0" fillId="0" borderId="14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0" fillId="0" borderId="0" xfId="0" quotePrefix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165" fontId="0" fillId="0" borderId="0" xfId="1" applyNumberFormat="1" applyFont="1"/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8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" fontId="11" fillId="0" borderId="8" xfId="0" applyNumberFormat="1" applyFont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14" fillId="0" borderId="0" xfId="0" applyFont="1" applyBorder="1" applyAlignment="1">
      <alignment horizontal="center"/>
    </xf>
    <xf numFmtId="0" fontId="14" fillId="0" borderId="10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21" sqref="G21"/>
    </sheetView>
  </sheetViews>
  <sheetFormatPr defaultRowHeight="14.5" x14ac:dyDescent="0.35"/>
  <cols>
    <col min="1" max="4" width="8.6328125" customWidth="1"/>
    <col min="5" max="6" width="15.6328125" customWidth="1"/>
    <col min="7" max="7" width="16.81640625" bestFit="1" customWidth="1"/>
    <col min="8" max="8" width="21.6328125" bestFit="1" customWidth="1"/>
    <col min="9" max="10" width="15.6328125" customWidth="1"/>
    <col min="11" max="11" width="16.81640625" bestFit="1" customWidth="1"/>
    <col min="12" max="12" width="21.6328125" bestFit="1" customWidth="1"/>
  </cols>
  <sheetData>
    <row r="1" spans="1:13" x14ac:dyDescent="0.35">
      <c r="A1" s="4"/>
      <c r="B1" s="5"/>
      <c r="C1" s="5"/>
      <c r="D1" s="5"/>
      <c r="E1" s="78" t="s">
        <v>2</v>
      </c>
      <c r="F1" s="79"/>
      <c r="G1" s="79"/>
      <c r="H1" s="80"/>
      <c r="I1" s="78" t="s">
        <v>3</v>
      </c>
      <c r="J1" s="79"/>
      <c r="K1" s="79"/>
      <c r="L1" s="81"/>
      <c r="M1" s="3"/>
    </row>
    <row r="2" spans="1:13" ht="15" thickBot="1" x14ac:dyDescent="0.4">
      <c r="A2" s="10" t="s">
        <v>4</v>
      </c>
      <c r="B2" s="11" t="s">
        <v>5</v>
      </c>
      <c r="C2" s="11" t="s">
        <v>17</v>
      </c>
      <c r="D2" s="11" t="s">
        <v>6</v>
      </c>
      <c r="E2" s="16" t="s">
        <v>18</v>
      </c>
      <c r="F2" s="11" t="s">
        <v>14</v>
      </c>
      <c r="G2" s="11" t="s">
        <v>13</v>
      </c>
      <c r="H2" s="11" t="s">
        <v>19</v>
      </c>
      <c r="I2" s="16" t="s">
        <v>18</v>
      </c>
      <c r="J2" s="11" t="s">
        <v>14</v>
      </c>
      <c r="K2" s="11" t="s">
        <v>13</v>
      </c>
      <c r="L2" s="12" t="s">
        <v>19</v>
      </c>
    </row>
    <row r="3" spans="1:13" x14ac:dyDescent="0.35">
      <c r="A3" s="8" t="s">
        <v>0</v>
      </c>
      <c r="B3" s="3">
        <v>2.2999999999999998</v>
      </c>
      <c r="C3" s="3" t="s">
        <v>1</v>
      </c>
      <c r="D3" s="13">
        <v>8780</v>
      </c>
      <c r="E3" s="17">
        <v>5540</v>
      </c>
      <c r="F3" s="13">
        <v>4286</v>
      </c>
      <c r="G3" s="3">
        <f>$D3-F3-300</f>
        <v>4194</v>
      </c>
      <c r="H3" s="3">
        <f>(E3-F3-300)/0.1</f>
        <v>9540</v>
      </c>
      <c r="I3" s="17" t="s">
        <v>7</v>
      </c>
      <c r="J3" s="13" t="s">
        <v>7</v>
      </c>
      <c r="K3" s="3" t="s">
        <v>7</v>
      </c>
      <c r="L3" s="9" t="s">
        <v>7</v>
      </c>
    </row>
    <row r="4" spans="1:13" x14ac:dyDescent="0.35">
      <c r="A4" s="8" t="s">
        <v>8</v>
      </c>
      <c r="B4" s="3">
        <v>2.2999999999999998</v>
      </c>
      <c r="C4" s="3" t="s">
        <v>1</v>
      </c>
      <c r="D4" s="13">
        <v>8780</v>
      </c>
      <c r="E4" s="17">
        <v>5540</v>
      </c>
      <c r="F4" s="13">
        <v>4297</v>
      </c>
      <c r="G4" s="3">
        <f t="shared" ref="G4:K18" si="0">$D4-F4-300</f>
        <v>4183</v>
      </c>
      <c r="H4" s="3">
        <f t="shared" ref="H4:H18" si="1">(E4-F4-300)/0.1</f>
        <v>9430</v>
      </c>
      <c r="I4" s="17">
        <v>5920</v>
      </c>
      <c r="J4" s="13">
        <v>4467</v>
      </c>
      <c r="K4" s="3">
        <f t="shared" si="0"/>
        <v>4013</v>
      </c>
      <c r="L4" s="9">
        <f>(I4-J4-300)/0.1</f>
        <v>11530</v>
      </c>
    </row>
    <row r="5" spans="1:13" x14ac:dyDescent="0.35">
      <c r="A5" s="8" t="s">
        <v>9</v>
      </c>
      <c r="B5" s="3">
        <v>2.2999999999999998</v>
      </c>
      <c r="C5" s="3" t="s">
        <v>1</v>
      </c>
      <c r="D5" s="13">
        <v>8780</v>
      </c>
      <c r="E5" s="17">
        <v>5640</v>
      </c>
      <c r="F5" s="13">
        <v>4587</v>
      </c>
      <c r="G5" s="3">
        <f t="shared" si="0"/>
        <v>3893</v>
      </c>
      <c r="H5" s="3">
        <f t="shared" si="1"/>
        <v>7530</v>
      </c>
      <c r="I5" s="17">
        <v>6020</v>
      </c>
      <c r="J5" s="13">
        <v>4825</v>
      </c>
      <c r="K5" s="3">
        <f t="shared" ref="K5" si="2">$D5-J5-300</f>
        <v>3655</v>
      </c>
      <c r="L5" s="9">
        <f t="shared" ref="L5:L18" si="3">(I5-J5-300)/0.1</f>
        <v>8950</v>
      </c>
    </row>
    <row r="6" spans="1:13" x14ac:dyDescent="0.35">
      <c r="A6" s="6" t="s">
        <v>10</v>
      </c>
      <c r="B6" s="2">
        <v>2.2999999999999998</v>
      </c>
      <c r="C6" s="2" t="s">
        <v>1</v>
      </c>
      <c r="D6" s="14">
        <v>8780</v>
      </c>
      <c r="E6" s="18">
        <v>5720</v>
      </c>
      <c r="F6" s="14">
        <v>4705</v>
      </c>
      <c r="G6" s="2">
        <f t="shared" si="0"/>
        <v>3775</v>
      </c>
      <c r="H6" s="25">
        <f t="shared" si="1"/>
        <v>7150</v>
      </c>
      <c r="I6" s="18">
        <v>6100</v>
      </c>
      <c r="J6" s="14">
        <v>4945</v>
      </c>
      <c r="K6" s="2">
        <f t="shared" ref="K6" si="4">$D6-J6-300</f>
        <v>3535</v>
      </c>
      <c r="L6" s="7">
        <f t="shared" si="3"/>
        <v>8550</v>
      </c>
    </row>
    <row r="7" spans="1:13" x14ac:dyDescent="0.35">
      <c r="A7" s="8" t="s">
        <v>0</v>
      </c>
      <c r="B7" s="3">
        <v>2.2999999999999998</v>
      </c>
      <c r="C7" s="3" t="s">
        <v>12</v>
      </c>
      <c r="D7" s="13">
        <v>8780</v>
      </c>
      <c r="E7" s="17">
        <v>5620</v>
      </c>
      <c r="F7" s="13">
        <v>4306</v>
      </c>
      <c r="G7" s="3">
        <f t="shared" si="0"/>
        <v>4174</v>
      </c>
      <c r="H7" s="3">
        <f t="shared" si="1"/>
        <v>10140</v>
      </c>
      <c r="I7" s="17">
        <v>5980</v>
      </c>
      <c r="J7" s="13">
        <v>4476</v>
      </c>
      <c r="K7" s="3">
        <f t="shared" ref="K7" si="5">$D7-J7-300</f>
        <v>4004</v>
      </c>
      <c r="L7" s="9">
        <f t="shared" si="3"/>
        <v>12040</v>
      </c>
    </row>
    <row r="8" spans="1:13" x14ac:dyDescent="0.35">
      <c r="A8" s="8" t="s">
        <v>8</v>
      </c>
      <c r="B8" s="3">
        <v>2.2999999999999998</v>
      </c>
      <c r="C8" s="3" t="s">
        <v>12</v>
      </c>
      <c r="D8" s="13">
        <v>8780</v>
      </c>
      <c r="E8" s="17">
        <v>5620</v>
      </c>
      <c r="F8" s="13">
        <v>4317</v>
      </c>
      <c r="G8" s="3">
        <f t="shared" si="0"/>
        <v>4163</v>
      </c>
      <c r="H8" s="3">
        <f t="shared" si="1"/>
        <v>10030</v>
      </c>
      <c r="I8" s="17">
        <v>5980</v>
      </c>
      <c r="J8" s="13">
        <v>4487</v>
      </c>
      <c r="K8" s="3">
        <f t="shared" ref="K8" si="6">$D8-J8-300</f>
        <v>3993</v>
      </c>
      <c r="L8" s="9">
        <f t="shared" si="3"/>
        <v>11930</v>
      </c>
    </row>
    <row r="9" spans="1:13" x14ac:dyDescent="0.35">
      <c r="A9" s="8" t="s">
        <v>9</v>
      </c>
      <c r="B9" s="3">
        <v>2.2999999999999998</v>
      </c>
      <c r="C9" s="3" t="s">
        <v>12</v>
      </c>
      <c r="D9" s="13">
        <v>8780</v>
      </c>
      <c r="E9" s="17">
        <v>5660</v>
      </c>
      <c r="F9" s="13">
        <v>4607</v>
      </c>
      <c r="G9" s="3">
        <f t="shared" si="0"/>
        <v>3873</v>
      </c>
      <c r="H9" s="3">
        <f t="shared" si="1"/>
        <v>7530</v>
      </c>
      <c r="I9" s="17">
        <v>6040</v>
      </c>
      <c r="J9" s="13">
        <v>4845</v>
      </c>
      <c r="K9" s="3">
        <f t="shared" ref="K9" si="7">$D9-J9-300</f>
        <v>3635</v>
      </c>
      <c r="L9" s="9">
        <f t="shared" si="3"/>
        <v>8950</v>
      </c>
    </row>
    <row r="10" spans="1:13" x14ac:dyDescent="0.35">
      <c r="A10" s="8" t="s">
        <v>11</v>
      </c>
      <c r="B10" s="3">
        <v>2.2999999999999998</v>
      </c>
      <c r="C10" s="3" t="s">
        <v>12</v>
      </c>
      <c r="D10" s="13">
        <v>8780</v>
      </c>
      <c r="E10" s="17">
        <v>5620</v>
      </c>
      <c r="F10" s="13">
        <v>4406</v>
      </c>
      <c r="G10" s="3">
        <f t="shared" si="0"/>
        <v>4074</v>
      </c>
      <c r="H10" s="3">
        <f t="shared" si="1"/>
        <v>9140</v>
      </c>
      <c r="I10" s="17">
        <v>5980</v>
      </c>
      <c r="J10" s="13">
        <v>4580</v>
      </c>
      <c r="K10" s="3">
        <f t="shared" ref="K10" si="8">$D10-J10-300</f>
        <v>3900</v>
      </c>
      <c r="L10" s="9">
        <f t="shared" si="3"/>
        <v>11000</v>
      </c>
    </row>
    <row r="11" spans="1:13" x14ac:dyDescent="0.35">
      <c r="A11" s="6" t="s">
        <v>10</v>
      </c>
      <c r="B11" s="2">
        <v>2.2999999999999998</v>
      </c>
      <c r="C11" s="2" t="s">
        <v>12</v>
      </c>
      <c r="D11" s="14">
        <v>8780</v>
      </c>
      <c r="E11" s="18">
        <v>5720</v>
      </c>
      <c r="F11" s="14">
        <v>4725</v>
      </c>
      <c r="G11" s="2">
        <f t="shared" si="0"/>
        <v>3755</v>
      </c>
      <c r="H11" s="25">
        <f t="shared" si="1"/>
        <v>6950</v>
      </c>
      <c r="I11" s="18">
        <v>6120</v>
      </c>
      <c r="J11" s="14">
        <v>4965</v>
      </c>
      <c r="K11" s="2">
        <f t="shared" ref="K11:K18" si="9">$D11-J11-300</f>
        <v>3515</v>
      </c>
      <c r="L11" s="7">
        <f t="shared" si="3"/>
        <v>8550</v>
      </c>
    </row>
    <row r="12" spans="1:13" x14ac:dyDescent="0.35">
      <c r="A12" s="8" t="s">
        <v>0</v>
      </c>
      <c r="B12" s="3">
        <v>2.7</v>
      </c>
      <c r="C12" s="3" t="s">
        <v>12</v>
      </c>
      <c r="D12" s="13">
        <v>8840</v>
      </c>
      <c r="E12" s="17">
        <v>5760</v>
      </c>
      <c r="F12" s="13">
        <v>4458</v>
      </c>
      <c r="G12" s="3">
        <f t="shared" si="0"/>
        <v>4082</v>
      </c>
      <c r="H12" s="3">
        <f t="shared" si="1"/>
        <v>10020</v>
      </c>
      <c r="I12" s="17">
        <v>6100</v>
      </c>
      <c r="J12" s="13">
        <v>4628</v>
      </c>
      <c r="K12" s="3">
        <f t="shared" si="9"/>
        <v>3912</v>
      </c>
      <c r="L12" s="9">
        <f t="shared" si="3"/>
        <v>11720</v>
      </c>
    </row>
    <row r="13" spans="1:13" x14ac:dyDescent="0.35">
      <c r="A13" s="8" t="s">
        <v>8</v>
      </c>
      <c r="B13" s="3">
        <v>2.7</v>
      </c>
      <c r="C13" s="3" t="s">
        <v>12</v>
      </c>
      <c r="D13" s="13">
        <v>8840</v>
      </c>
      <c r="E13" s="17">
        <v>5760</v>
      </c>
      <c r="F13" s="13">
        <v>4469</v>
      </c>
      <c r="G13" s="3">
        <f t="shared" si="0"/>
        <v>4071</v>
      </c>
      <c r="H13" s="3">
        <f t="shared" si="1"/>
        <v>9910</v>
      </c>
      <c r="I13" s="17">
        <v>6100</v>
      </c>
      <c r="J13" s="13">
        <v>4639</v>
      </c>
      <c r="K13" s="3">
        <f t="shared" si="9"/>
        <v>3901</v>
      </c>
      <c r="L13" s="9">
        <f t="shared" si="3"/>
        <v>11610</v>
      </c>
    </row>
    <row r="14" spans="1:13" x14ac:dyDescent="0.35">
      <c r="A14" s="8" t="s">
        <v>9</v>
      </c>
      <c r="B14" s="3">
        <v>2.7</v>
      </c>
      <c r="C14" s="3" t="s">
        <v>12</v>
      </c>
      <c r="D14" s="13">
        <v>8840</v>
      </c>
      <c r="E14" s="17">
        <v>5800</v>
      </c>
      <c r="F14" s="13">
        <v>4781</v>
      </c>
      <c r="G14" s="3">
        <f t="shared" si="0"/>
        <v>3759</v>
      </c>
      <c r="H14" s="3">
        <f t="shared" si="1"/>
        <v>7190</v>
      </c>
      <c r="I14" s="17">
        <v>6180</v>
      </c>
      <c r="J14" s="13">
        <v>4997</v>
      </c>
      <c r="K14" s="3">
        <f t="shared" si="9"/>
        <v>3543</v>
      </c>
      <c r="L14" s="9">
        <f t="shared" si="3"/>
        <v>8830</v>
      </c>
    </row>
    <row r="15" spans="1:13" x14ac:dyDescent="0.35">
      <c r="A15" s="8" t="s">
        <v>11</v>
      </c>
      <c r="B15" s="3">
        <v>2.7</v>
      </c>
      <c r="C15" s="3" t="s">
        <v>12</v>
      </c>
      <c r="D15" s="13">
        <v>8840</v>
      </c>
      <c r="E15" s="17">
        <v>5760</v>
      </c>
      <c r="F15" s="13">
        <v>4558</v>
      </c>
      <c r="G15" s="3">
        <f t="shared" si="0"/>
        <v>3982</v>
      </c>
      <c r="H15" s="3">
        <f t="shared" si="1"/>
        <v>9020</v>
      </c>
      <c r="I15" s="17">
        <v>6100</v>
      </c>
      <c r="J15" s="13">
        <v>4731</v>
      </c>
      <c r="K15" s="3">
        <f t="shared" si="9"/>
        <v>3809</v>
      </c>
      <c r="L15" s="9">
        <f t="shared" si="3"/>
        <v>10690</v>
      </c>
    </row>
    <row r="16" spans="1:13" x14ac:dyDescent="0.35">
      <c r="A16" s="8" t="s">
        <v>10</v>
      </c>
      <c r="B16" s="3">
        <v>2.7</v>
      </c>
      <c r="C16" s="3" t="s">
        <v>12</v>
      </c>
      <c r="D16" s="13">
        <v>8840</v>
      </c>
      <c r="E16" s="17">
        <v>5860</v>
      </c>
      <c r="F16" s="13">
        <v>4877</v>
      </c>
      <c r="G16" s="3">
        <f t="shared" si="0"/>
        <v>3663</v>
      </c>
      <c r="H16" s="3">
        <f t="shared" si="1"/>
        <v>6830</v>
      </c>
      <c r="I16" s="17">
        <v>6180</v>
      </c>
      <c r="J16" s="13">
        <v>5117</v>
      </c>
      <c r="K16" s="22">
        <f t="shared" si="9"/>
        <v>3423</v>
      </c>
      <c r="L16" s="9">
        <f t="shared" si="3"/>
        <v>7630</v>
      </c>
    </row>
    <row r="17" spans="1:12" x14ac:dyDescent="0.35">
      <c r="A17" s="8" t="s">
        <v>15</v>
      </c>
      <c r="B17" s="3">
        <v>2.7</v>
      </c>
      <c r="C17" s="3" t="s">
        <v>12</v>
      </c>
      <c r="D17" s="13">
        <v>8840</v>
      </c>
      <c r="E17" s="17">
        <v>5820</v>
      </c>
      <c r="F17" s="13">
        <v>4749</v>
      </c>
      <c r="G17" s="3">
        <f t="shared" si="0"/>
        <v>3791</v>
      </c>
      <c r="H17" s="3">
        <f t="shared" si="1"/>
        <v>7710</v>
      </c>
      <c r="I17" s="17">
        <v>6160</v>
      </c>
      <c r="J17" s="13">
        <v>4935</v>
      </c>
      <c r="K17" s="23">
        <f t="shared" si="9"/>
        <v>3605</v>
      </c>
      <c r="L17" s="9">
        <f t="shared" si="3"/>
        <v>9250</v>
      </c>
    </row>
    <row r="18" spans="1:12" ht="15" thickBot="1" x14ac:dyDescent="0.4">
      <c r="A18" s="10" t="s">
        <v>16</v>
      </c>
      <c r="B18" s="11">
        <v>2.7</v>
      </c>
      <c r="C18" s="11" t="s">
        <v>12</v>
      </c>
      <c r="D18" s="15">
        <v>8840</v>
      </c>
      <c r="E18" s="19">
        <v>5860</v>
      </c>
      <c r="F18" s="15">
        <v>4997</v>
      </c>
      <c r="G18" s="11">
        <f t="shared" si="0"/>
        <v>3543</v>
      </c>
      <c r="H18" s="26">
        <f t="shared" si="1"/>
        <v>5630</v>
      </c>
      <c r="I18" s="19">
        <v>6180</v>
      </c>
      <c r="J18" s="15">
        <v>5256</v>
      </c>
      <c r="K18" s="24">
        <f t="shared" si="9"/>
        <v>3284</v>
      </c>
      <c r="L18" s="12">
        <f t="shared" si="3"/>
        <v>6240</v>
      </c>
    </row>
    <row r="19" spans="1:12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2" x14ac:dyDescent="0.35">
      <c r="A20" s="2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2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6" spans="1:12" x14ac:dyDescent="0.35">
      <c r="J26" s="20"/>
    </row>
    <row r="35" spans="7:9" x14ac:dyDescent="0.35">
      <c r="G35" s="20"/>
      <c r="H35" s="20"/>
      <c r="I35" s="20"/>
    </row>
  </sheetData>
  <mergeCells count="2">
    <mergeCell ref="E1:H1"/>
    <mergeCell ref="I1:L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0AB8C-315E-4AF1-8C3D-FAA13BB97140}">
  <dimension ref="A1:O26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6" sqref="B16"/>
    </sheetView>
  </sheetViews>
  <sheetFormatPr defaultRowHeight="14.5" x14ac:dyDescent="0.35"/>
  <cols>
    <col min="1" max="1" width="25.6328125" customWidth="1"/>
    <col min="2" max="17" width="13.6328125" customWidth="1"/>
  </cols>
  <sheetData>
    <row r="1" spans="1:15" x14ac:dyDescent="0.35">
      <c r="A1" s="4" t="s">
        <v>29</v>
      </c>
      <c r="B1" s="70" t="s">
        <v>33</v>
      </c>
      <c r="C1" s="71" t="s">
        <v>33</v>
      </c>
      <c r="D1" s="73" t="s">
        <v>66</v>
      </c>
      <c r="E1" s="73" t="s">
        <v>69</v>
      </c>
      <c r="F1" s="73" t="s">
        <v>69</v>
      </c>
      <c r="G1" s="71" t="s">
        <v>28</v>
      </c>
      <c r="H1" s="73" t="s">
        <v>28</v>
      </c>
      <c r="I1" s="71" t="s">
        <v>32</v>
      </c>
      <c r="J1" s="71" t="s">
        <v>32</v>
      </c>
      <c r="K1" s="71" t="s">
        <v>30</v>
      </c>
      <c r="L1" s="72" t="s">
        <v>30</v>
      </c>
      <c r="M1" s="1"/>
      <c r="N1" s="1"/>
      <c r="O1" s="1"/>
    </row>
    <row r="2" spans="1:15" ht="15" thickBot="1" x14ac:dyDescent="0.4">
      <c r="A2" s="27" t="s">
        <v>23</v>
      </c>
      <c r="B2" s="16" t="s">
        <v>26</v>
      </c>
      <c r="C2" s="11" t="s">
        <v>25</v>
      </c>
      <c r="D2" s="11" t="s">
        <v>67</v>
      </c>
      <c r="E2" s="11" t="s">
        <v>70</v>
      </c>
      <c r="F2" s="11" t="s">
        <v>71</v>
      </c>
      <c r="G2" s="11" t="s">
        <v>27</v>
      </c>
      <c r="H2" s="11" t="s">
        <v>68</v>
      </c>
      <c r="I2" s="11" t="s">
        <v>64</v>
      </c>
      <c r="J2" s="11" t="s">
        <v>24</v>
      </c>
      <c r="K2" s="11" t="s">
        <v>31</v>
      </c>
      <c r="L2" s="12" t="s">
        <v>65</v>
      </c>
      <c r="M2" s="1"/>
      <c r="N2" s="1"/>
      <c r="O2" s="1"/>
    </row>
    <row r="3" spans="1:15" x14ac:dyDescent="0.35">
      <c r="A3" s="4" t="s">
        <v>6</v>
      </c>
      <c r="B3" s="70">
        <v>11360</v>
      </c>
      <c r="C3" s="71">
        <v>11330</v>
      </c>
      <c r="D3" s="73">
        <v>11133</v>
      </c>
      <c r="E3" s="73">
        <v>11133</v>
      </c>
      <c r="F3" s="73">
        <v>11133</v>
      </c>
      <c r="G3" s="71">
        <v>11230</v>
      </c>
      <c r="H3" s="73">
        <v>11230</v>
      </c>
      <c r="I3" s="71">
        <v>9100</v>
      </c>
      <c r="J3" s="71">
        <v>9900</v>
      </c>
      <c r="K3" s="71">
        <v>8780</v>
      </c>
      <c r="L3" s="9">
        <v>8780</v>
      </c>
      <c r="M3" s="1"/>
      <c r="N3" s="1"/>
      <c r="O3" s="1"/>
    </row>
    <row r="4" spans="1:15" x14ac:dyDescent="0.35">
      <c r="A4" s="28" t="s">
        <v>18</v>
      </c>
      <c r="B4" s="29">
        <v>5600</v>
      </c>
      <c r="C4" s="3">
        <v>5600</v>
      </c>
      <c r="D4" s="3">
        <v>5655</v>
      </c>
      <c r="E4" s="3">
        <v>5690</v>
      </c>
      <c r="F4" s="3">
        <v>5600</v>
      </c>
      <c r="G4" s="3">
        <v>5666</v>
      </c>
      <c r="H4" s="3">
        <v>5600</v>
      </c>
      <c r="I4" s="3">
        <v>6250</v>
      </c>
      <c r="J4" s="3">
        <v>6140</v>
      </c>
      <c r="K4" s="3">
        <v>5920</v>
      </c>
      <c r="L4" s="9">
        <v>5540</v>
      </c>
      <c r="M4" s="1"/>
      <c r="N4" s="1"/>
      <c r="O4" s="1"/>
    </row>
    <row r="5" spans="1:15" x14ac:dyDescent="0.35">
      <c r="A5" s="28" t="s">
        <v>20</v>
      </c>
      <c r="B5" s="29">
        <v>4340</v>
      </c>
      <c r="C5" s="3">
        <v>4465</v>
      </c>
      <c r="D5" s="3">
        <v>4307</v>
      </c>
      <c r="E5" s="3">
        <v>4327</v>
      </c>
      <c r="F5" s="3">
        <v>4333</v>
      </c>
      <c r="G5" s="3">
        <v>4530</v>
      </c>
      <c r="H5" s="3">
        <v>4551</v>
      </c>
      <c r="I5" s="3">
        <v>4650</v>
      </c>
      <c r="J5" s="3">
        <v>4940</v>
      </c>
      <c r="K5" s="3">
        <f>4467+30+50+28</f>
        <v>4575</v>
      </c>
      <c r="L5" s="9">
        <v>4286</v>
      </c>
      <c r="M5" s="1"/>
      <c r="N5" s="1"/>
      <c r="O5" s="1"/>
    </row>
    <row r="6" spans="1:15" x14ac:dyDescent="0.35">
      <c r="A6" s="28" t="s">
        <v>21</v>
      </c>
      <c r="B6" s="29">
        <f>B4-B5</f>
        <v>1260</v>
      </c>
      <c r="C6" s="3">
        <f>C4-C5</f>
        <v>1135</v>
      </c>
      <c r="D6" s="3">
        <f>D4-D5</f>
        <v>1348</v>
      </c>
      <c r="E6" s="3">
        <f>E4-E5</f>
        <v>1363</v>
      </c>
      <c r="F6" s="3">
        <f>F4-F5</f>
        <v>1267</v>
      </c>
      <c r="G6" s="3">
        <f t="shared" ref="G6:L6" si="0">G4-G5</f>
        <v>1136</v>
      </c>
      <c r="H6" s="3">
        <f t="shared" si="0"/>
        <v>1049</v>
      </c>
      <c r="I6" s="3">
        <f t="shared" si="0"/>
        <v>1600</v>
      </c>
      <c r="J6" s="3">
        <f t="shared" si="0"/>
        <v>1200</v>
      </c>
      <c r="K6" s="3">
        <f t="shared" si="0"/>
        <v>1345</v>
      </c>
      <c r="L6" s="9">
        <f t="shared" si="0"/>
        <v>1254</v>
      </c>
      <c r="M6" s="1"/>
      <c r="N6" s="1"/>
      <c r="O6" s="1"/>
    </row>
    <row r="7" spans="1:15" ht="15" thickBot="1" x14ac:dyDescent="0.4">
      <c r="A7" s="27" t="s">
        <v>22</v>
      </c>
      <c r="B7" s="16">
        <v>6500</v>
      </c>
      <c r="C7" s="11">
        <v>6400</v>
      </c>
      <c r="D7" s="11">
        <v>6300</v>
      </c>
      <c r="E7" s="11">
        <v>6300</v>
      </c>
      <c r="F7" s="11">
        <v>6300</v>
      </c>
      <c r="G7" s="11">
        <v>6100</v>
      </c>
      <c r="H7" s="11">
        <v>6100</v>
      </c>
      <c r="I7" s="11">
        <v>4000</v>
      </c>
      <c r="J7" s="11">
        <v>4500</v>
      </c>
      <c r="K7" s="11">
        <v>3500</v>
      </c>
      <c r="L7" s="12">
        <v>3500</v>
      </c>
      <c r="M7" s="1"/>
      <c r="N7" s="1"/>
      <c r="O7" s="1"/>
    </row>
    <row r="8" spans="1:15" x14ac:dyDescent="0.35">
      <c r="A8" s="31" t="s">
        <v>38</v>
      </c>
      <c r="B8" s="38">
        <f>400+250+50+70+80</f>
        <v>850</v>
      </c>
      <c r="C8" s="39">
        <f>400+250+50+70+80</f>
        <v>850</v>
      </c>
      <c r="D8" s="39">
        <f>400+250+50+70+80</f>
        <v>850</v>
      </c>
      <c r="E8" s="39">
        <f>400+250+50+70+80</f>
        <v>850</v>
      </c>
      <c r="F8" s="39">
        <f>400+250+50+70+80</f>
        <v>850</v>
      </c>
      <c r="G8" s="39">
        <f>400+250+50+70+80</f>
        <v>850</v>
      </c>
      <c r="H8" s="39">
        <f>400+250+50+70+80</f>
        <v>850</v>
      </c>
      <c r="I8" s="39">
        <f>400+250+50+70+80</f>
        <v>850</v>
      </c>
      <c r="J8" s="39">
        <f>400+250+50+70+80</f>
        <v>850</v>
      </c>
      <c r="K8" s="39">
        <f>400+250+50+70+30</f>
        <v>800</v>
      </c>
      <c r="L8" s="74">
        <f>400+250+50+70+30</f>
        <v>800</v>
      </c>
    </row>
    <row r="9" spans="1:15" x14ac:dyDescent="0.35">
      <c r="A9" s="30" t="s">
        <v>39</v>
      </c>
      <c r="B9" s="40">
        <f>400+120+50+50+80</f>
        <v>700</v>
      </c>
      <c r="C9" s="41">
        <f>400+120+50+50+80</f>
        <v>700</v>
      </c>
      <c r="D9" s="41">
        <f>400+120+50+50+80</f>
        <v>700</v>
      </c>
      <c r="E9" s="41">
        <f>400+120+50+50+80</f>
        <v>700</v>
      </c>
      <c r="F9" s="41">
        <f>400+120+50+50+80</f>
        <v>700</v>
      </c>
      <c r="G9" s="41">
        <f>400+120+50+50+80</f>
        <v>700</v>
      </c>
      <c r="H9" s="41">
        <f>400+120+50+50+80</f>
        <v>700</v>
      </c>
      <c r="I9" s="41">
        <f>400+120+50+50+80</f>
        <v>700</v>
      </c>
      <c r="J9" s="41">
        <f>400+120+50+50+80</f>
        <v>700</v>
      </c>
      <c r="K9" s="41">
        <f>400+120+50+50+30</f>
        <v>650</v>
      </c>
      <c r="L9" s="42">
        <f>400+120+50+50+30</f>
        <v>650</v>
      </c>
    </row>
    <row r="10" spans="1:15" ht="15" thickBot="1" x14ac:dyDescent="0.4">
      <c r="A10" s="32" t="s">
        <v>40</v>
      </c>
      <c r="B10" s="43">
        <f>220+80+30+170</f>
        <v>500</v>
      </c>
      <c r="C10" s="44">
        <f>220+80+30+170</f>
        <v>500</v>
      </c>
      <c r="D10" s="44">
        <f>220+80+30+170</f>
        <v>500</v>
      </c>
      <c r="E10" s="44">
        <f>220+80+30+170</f>
        <v>500</v>
      </c>
      <c r="F10" s="44">
        <f>220+80+30+170</f>
        <v>500</v>
      </c>
      <c r="G10" s="44">
        <f>220+80+30+170</f>
        <v>500</v>
      </c>
      <c r="H10" s="44">
        <f>220+80+30+170</f>
        <v>500</v>
      </c>
      <c r="I10" s="44">
        <f>220+80+30+170</f>
        <v>500</v>
      </c>
      <c r="J10" s="44">
        <f>220+80+30+170</f>
        <v>500</v>
      </c>
      <c r="K10" s="44">
        <f>220+30+170</f>
        <v>420</v>
      </c>
      <c r="L10" s="45">
        <f>220+30+170</f>
        <v>420</v>
      </c>
    </row>
    <row r="11" spans="1:15" x14ac:dyDescent="0.35">
      <c r="A11" s="85" t="s">
        <v>34</v>
      </c>
      <c r="B11" s="33">
        <f>B$3-B$5-5400</f>
        <v>1620</v>
      </c>
      <c r="C11" s="34">
        <f>C$3-C$5-5400</f>
        <v>1465</v>
      </c>
      <c r="D11" s="34">
        <f>D$3-D$5-5400</f>
        <v>1426</v>
      </c>
      <c r="E11" s="34">
        <f>E$3-E$5-5400</f>
        <v>1406</v>
      </c>
      <c r="F11" s="34">
        <f>F$3-F$5-5400</f>
        <v>1400</v>
      </c>
      <c r="G11" s="34">
        <f t="shared" ref="G11:L11" si="1">G$3-G$5-5400</f>
        <v>1300</v>
      </c>
      <c r="H11" s="34">
        <f t="shared" si="1"/>
        <v>1279</v>
      </c>
      <c r="I11" s="34">
        <f t="shared" si="1"/>
        <v>-950</v>
      </c>
      <c r="J11" s="34">
        <f t="shared" si="1"/>
        <v>-440</v>
      </c>
      <c r="K11" s="34">
        <f t="shared" si="1"/>
        <v>-1195</v>
      </c>
      <c r="L11" s="36">
        <f t="shared" si="1"/>
        <v>-906</v>
      </c>
    </row>
    <row r="12" spans="1:15" x14ac:dyDescent="0.35">
      <c r="A12" s="86"/>
      <c r="B12" s="46">
        <f>B$4-B$5-5400/10</f>
        <v>720</v>
      </c>
      <c r="C12" s="47">
        <f>C$4-C$5-5400/10</f>
        <v>595</v>
      </c>
      <c r="D12" s="41">
        <f>D$4-D$5-5400/10</f>
        <v>808</v>
      </c>
      <c r="E12" s="41">
        <f>E$4-E$5-5400/10</f>
        <v>823</v>
      </c>
      <c r="F12" s="41">
        <f>F$4-F$5-5400/10</f>
        <v>727</v>
      </c>
      <c r="G12" s="47">
        <f t="shared" ref="G12:L12" si="2">G$4-G$5-5400/10</f>
        <v>596</v>
      </c>
      <c r="H12" s="47">
        <f t="shared" si="2"/>
        <v>509</v>
      </c>
      <c r="I12" s="35">
        <f t="shared" si="2"/>
        <v>1060</v>
      </c>
      <c r="J12" s="35">
        <f t="shared" si="2"/>
        <v>660</v>
      </c>
      <c r="K12" s="35">
        <f t="shared" si="2"/>
        <v>805</v>
      </c>
      <c r="L12" s="36">
        <f t="shared" si="2"/>
        <v>714</v>
      </c>
    </row>
    <row r="13" spans="1:15" x14ac:dyDescent="0.35">
      <c r="A13" s="86" t="s">
        <v>35</v>
      </c>
      <c r="B13" s="37">
        <f>B$3-B$5-4500</f>
        <v>2520</v>
      </c>
      <c r="C13" s="35">
        <f>C$3-C$5-4500</f>
        <v>2365</v>
      </c>
      <c r="D13" s="35">
        <f>D$3-D$5-4500</f>
        <v>2326</v>
      </c>
      <c r="E13" s="35">
        <f>E$3-E$5-4500</f>
        <v>2306</v>
      </c>
      <c r="F13" s="35">
        <f>F$3-F$5-4500</f>
        <v>2300</v>
      </c>
      <c r="G13" s="35">
        <f t="shared" ref="G13:L13" si="3">G$3-G$5-4500</f>
        <v>2200</v>
      </c>
      <c r="H13" s="35">
        <f t="shared" si="3"/>
        <v>2179</v>
      </c>
      <c r="I13" s="35">
        <f t="shared" si="3"/>
        <v>-50</v>
      </c>
      <c r="J13" s="64">
        <f t="shared" si="3"/>
        <v>460</v>
      </c>
      <c r="K13" s="35">
        <f t="shared" si="3"/>
        <v>-295</v>
      </c>
      <c r="L13" s="36">
        <f t="shared" si="3"/>
        <v>-6</v>
      </c>
    </row>
    <row r="14" spans="1:15" x14ac:dyDescent="0.35">
      <c r="A14" s="86"/>
      <c r="B14" s="46">
        <f>B$4-B$5-4500/10</f>
        <v>810</v>
      </c>
      <c r="C14" s="47">
        <f>C$4-C$5-4500/10</f>
        <v>685</v>
      </c>
      <c r="D14" s="54">
        <f>D$4-D$5-4500/10</f>
        <v>898</v>
      </c>
      <c r="E14" s="54">
        <f>E$4-E$5-4500/10</f>
        <v>913</v>
      </c>
      <c r="F14" s="41">
        <f>F$4-F$5-4500/10</f>
        <v>817</v>
      </c>
      <c r="G14" s="47">
        <f t="shared" ref="G14:L14" si="4">G$4-G$5-4500/10</f>
        <v>686</v>
      </c>
      <c r="H14" s="47">
        <f t="shared" si="4"/>
        <v>599</v>
      </c>
      <c r="I14" s="35">
        <f t="shared" si="4"/>
        <v>1150</v>
      </c>
      <c r="J14" s="35">
        <f t="shared" si="4"/>
        <v>750</v>
      </c>
      <c r="K14" s="35">
        <f t="shared" si="4"/>
        <v>895</v>
      </c>
      <c r="L14" s="36">
        <f t="shared" si="4"/>
        <v>804</v>
      </c>
    </row>
    <row r="15" spans="1:15" x14ac:dyDescent="0.35">
      <c r="A15" s="86" t="s">
        <v>44</v>
      </c>
      <c r="B15" s="37">
        <f>B$3-B$5-4000</f>
        <v>3020</v>
      </c>
      <c r="C15" s="35">
        <f>C$3-C$5-4000</f>
        <v>2865</v>
      </c>
      <c r="D15" s="35">
        <f>D$3-D$5-4000</f>
        <v>2826</v>
      </c>
      <c r="E15" s="35">
        <f>E$3-E$5-4000</f>
        <v>2806</v>
      </c>
      <c r="F15" s="35">
        <f>F$3-F$5-4000</f>
        <v>2800</v>
      </c>
      <c r="G15" s="35">
        <f t="shared" ref="G15:L15" si="5">G$3-G$5-4000</f>
        <v>2700</v>
      </c>
      <c r="H15" s="35">
        <f t="shared" si="5"/>
        <v>2679</v>
      </c>
      <c r="I15" s="64">
        <f t="shared" si="5"/>
        <v>450</v>
      </c>
      <c r="J15" s="35">
        <f t="shared" si="5"/>
        <v>960</v>
      </c>
      <c r="K15" s="64">
        <f t="shared" si="5"/>
        <v>205</v>
      </c>
      <c r="L15" s="77">
        <f t="shared" si="5"/>
        <v>494</v>
      </c>
      <c r="M15" t="s">
        <v>45</v>
      </c>
    </row>
    <row r="16" spans="1:15" x14ac:dyDescent="0.35">
      <c r="A16" s="86"/>
      <c r="B16" s="53">
        <f>B$4-B$5-4000/10</f>
        <v>860</v>
      </c>
      <c r="C16" s="48">
        <f>C$4-C$5-4000/10</f>
        <v>735</v>
      </c>
      <c r="D16" s="54">
        <f>D$4-D$5-4000/10</f>
        <v>948</v>
      </c>
      <c r="E16" s="54">
        <f>E$4-E$5-4000/10</f>
        <v>963</v>
      </c>
      <c r="F16" s="54">
        <f>F$4-F$5-4000/10</f>
        <v>867</v>
      </c>
      <c r="G16" s="48">
        <f t="shared" ref="G16:L16" si="6">G$4-G$5-4000/10</f>
        <v>736</v>
      </c>
      <c r="H16" s="47">
        <f t="shared" si="6"/>
        <v>649</v>
      </c>
      <c r="I16" s="35">
        <f t="shared" si="6"/>
        <v>1200</v>
      </c>
      <c r="J16" s="48">
        <f t="shared" si="6"/>
        <v>800</v>
      </c>
      <c r="K16" s="35">
        <f t="shared" si="6"/>
        <v>945</v>
      </c>
      <c r="L16" s="36">
        <f t="shared" si="6"/>
        <v>854</v>
      </c>
    </row>
    <row r="17" spans="1:12" x14ac:dyDescent="0.35">
      <c r="A17" s="86" t="s">
        <v>36</v>
      </c>
      <c r="B17" s="37">
        <f>B$3-B$5-3500</f>
        <v>3520</v>
      </c>
      <c r="C17" s="35">
        <f>C$3-C$5-3500</f>
        <v>3365</v>
      </c>
      <c r="D17" s="35">
        <f>D$3-D$5-3500</f>
        <v>3326</v>
      </c>
      <c r="E17" s="35">
        <f>E$3-E$5-3500</f>
        <v>3306</v>
      </c>
      <c r="F17" s="35">
        <f>F$3-F$5-3500</f>
        <v>3300</v>
      </c>
      <c r="G17" s="35">
        <f t="shared" ref="G17:L17" si="7">G$3-G$5-3500</f>
        <v>3200</v>
      </c>
      <c r="H17" s="35">
        <f t="shared" si="7"/>
        <v>3179</v>
      </c>
      <c r="I17" s="54">
        <f t="shared" si="7"/>
        <v>950</v>
      </c>
      <c r="J17" s="35">
        <f t="shared" si="7"/>
        <v>1460</v>
      </c>
      <c r="K17" s="48">
        <f t="shared" si="7"/>
        <v>705</v>
      </c>
      <c r="L17" s="36">
        <f t="shared" si="7"/>
        <v>994</v>
      </c>
    </row>
    <row r="18" spans="1:12" x14ac:dyDescent="0.35">
      <c r="A18" s="86"/>
      <c r="B18" s="53">
        <f>B$4-B$5-3500/10</f>
        <v>910</v>
      </c>
      <c r="C18" s="48">
        <f>C$4-C$5-3500/10</f>
        <v>785</v>
      </c>
      <c r="D18" s="54">
        <f>D$4-D$5-3500/10</f>
        <v>998</v>
      </c>
      <c r="E18" s="54">
        <f>E$4-E$5-3500/10</f>
        <v>1013</v>
      </c>
      <c r="F18" s="54">
        <f>F$4-F$5-3500/10</f>
        <v>917</v>
      </c>
      <c r="G18" s="48">
        <f t="shared" ref="G18:L18" si="8">G$4-G$5-3500/10</f>
        <v>786</v>
      </c>
      <c r="H18" s="48">
        <f t="shared" si="8"/>
        <v>699</v>
      </c>
      <c r="I18" s="35">
        <f t="shared" si="8"/>
        <v>1250</v>
      </c>
      <c r="J18" s="54">
        <f t="shared" si="8"/>
        <v>850</v>
      </c>
      <c r="K18" s="35">
        <f t="shared" si="8"/>
        <v>995</v>
      </c>
      <c r="L18" s="75">
        <f t="shared" si="8"/>
        <v>904</v>
      </c>
    </row>
    <row r="19" spans="1:12" x14ac:dyDescent="0.35">
      <c r="A19" s="86" t="s">
        <v>37</v>
      </c>
      <c r="B19" s="37">
        <f>B$3-B$5-3000</f>
        <v>4020</v>
      </c>
      <c r="C19" s="35">
        <f>C$3-C$5-3000</f>
        <v>3865</v>
      </c>
      <c r="D19" s="35">
        <f>D$3-D$5-3000</f>
        <v>3826</v>
      </c>
      <c r="E19" s="35">
        <f>E$3-E$5-3000</f>
        <v>3806</v>
      </c>
      <c r="F19" s="35">
        <f>F$3-F$5-3000</f>
        <v>3800</v>
      </c>
      <c r="G19" s="35">
        <f t="shared" ref="G19:L19" si="9">G$3-G$5-3000</f>
        <v>3700</v>
      </c>
      <c r="H19" s="35">
        <f t="shared" si="9"/>
        <v>3679</v>
      </c>
      <c r="I19" s="35">
        <f t="shared" si="9"/>
        <v>1450</v>
      </c>
      <c r="J19" s="35">
        <f t="shared" si="9"/>
        <v>1960</v>
      </c>
      <c r="K19" s="35">
        <f t="shared" si="9"/>
        <v>1205</v>
      </c>
      <c r="L19" s="36">
        <f t="shared" si="9"/>
        <v>1494</v>
      </c>
    </row>
    <row r="20" spans="1:12" ht="15" thickBot="1" x14ac:dyDescent="0.4">
      <c r="A20" s="87"/>
      <c r="B20" s="52">
        <f>B$4-B$5-3000/10</f>
        <v>960</v>
      </c>
      <c r="C20" s="49">
        <f>C$4-C$5-3000/10</f>
        <v>835</v>
      </c>
      <c r="D20" s="50">
        <f>D$4-D$5-3000/10</f>
        <v>1048</v>
      </c>
      <c r="E20" s="50">
        <f>E$4-E$5-3000/10</f>
        <v>1063</v>
      </c>
      <c r="F20" s="50">
        <f>F$4-F$5-3000/10</f>
        <v>967</v>
      </c>
      <c r="G20" s="49">
        <f t="shared" ref="G20:L20" si="10">G$4-G$5-3000/10</f>
        <v>836</v>
      </c>
      <c r="H20" s="49">
        <f t="shared" si="10"/>
        <v>749</v>
      </c>
      <c r="I20" s="50">
        <f t="shared" si="10"/>
        <v>1300</v>
      </c>
      <c r="J20" s="50">
        <f t="shared" si="10"/>
        <v>900</v>
      </c>
      <c r="K20" s="50">
        <f t="shared" si="10"/>
        <v>1045</v>
      </c>
      <c r="L20" s="51">
        <f t="shared" si="10"/>
        <v>954</v>
      </c>
    </row>
    <row r="21" spans="1:12" x14ac:dyDescent="0.35">
      <c r="A21" s="82" t="s">
        <v>41</v>
      </c>
      <c r="B21" s="55">
        <f>B$3-B$5-B8</f>
        <v>6170</v>
      </c>
      <c r="C21" s="56">
        <f t="shared" ref="C21:K21" si="11">C$3-C$5-C8</f>
        <v>6015</v>
      </c>
      <c r="D21" s="56">
        <f t="shared" ref="D21:E21" si="12">D$3-D$5-D8</f>
        <v>5976</v>
      </c>
      <c r="E21" s="56">
        <f t="shared" si="12"/>
        <v>5956</v>
      </c>
      <c r="F21" s="56">
        <f t="shared" ref="F21" si="13">F$3-F$5-F8</f>
        <v>5950</v>
      </c>
      <c r="G21" s="56">
        <f t="shared" si="11"/>
        <v>5850</v>
      </c>
      <c r="H21" s="56">
        <f t="shared" ref="H21" si="14">H$3-H$5-H8</f>
        <v>5829</v>
      </c>
      <c r="I21" s="3">
        <f t="shared" ref="I21" si="15">I$3-I$5-I8</f>
        <v>3600</v>
      </c>
      <c r="J21" s="56">
        <f t="shared" si="11"/>
        <v>4110</v>
      </c>
      <c r="K21" s="71">
        <f t="shared" si="11"/>
        <v>3405</v>
      </c>
      <c r="L21" s="76">
        <f t="shared" ref="L21" si="16">L$3-L$5-L8</f>
        <v>3694</v>
      </c>
    </row>
    <row r="22" spans="1:12" x14ac:dyDescent="0.35">
      <c r="A22" s="83"/>
      <c r="B22" s="29">
        <f>(B$4-B$5-B8)/0.1</f>
        <v>4100</v>
      </c>
      <c r="C22" s="3">
        <f t="shared" ref="C22:K22" si="17">(C$4-C$5-C8)/0.1</f>
        <v>2850</v>
      </c>
      <c r="D22" s="88">
        <f t="shared" ref="D22:E22" si="18">(D$4-D$5-D8)/0.1</f>
        <v>4980</v>
      </c>
      <c r="E22" s="88">
        <f t="shared" si="18"/>
        <v>5130</v>
      </c>
      <c r="F22" s="88">
        <f t="shared" ref="F22" si="19">(F$4-F$5-F8)/0.1</f>
        <v>4170</v>
      </c>
      <c r="G22" s="3">
        <f t="shared" si="17"/>
        <v>2860</v>
      </c>
      <c r="H22" s="3">
        <f t="shared" ref="H22" si="20">(H$4-H$5-H8)/0.1</f>
        <v>1990</v>
      </c>
      <c r="I22" s="59">
        <f t="shared" ref="I22" si="21">(I$4-I$5-I8)/0.1</f>
        <v>7500</v>
      </c>
      <c r="J22" s="3">
        <f t="shared" si="17"/>
        <v>3500</v>
      </c>
      <c r="K22" s="59">
        <f t="shared" si="17"/>
        <v>5450</v>
      </c>
      <c r="L22" s="57">
        <f t="shared" ref="L22" si="22">(L$4-L$5-L8)/0.1</f>
        <v>4540</v>
      </c>
    </row>
    <row r="23" spans="1:12" x14ac:dyDescent="0.35">
      <c r="A23" s="83" t="s">
        <v>42</v>
      </c>
      <c r="B23" s="58">
        <f>B$3-B$5-B$9</f>
        <v>6320</v>
      </c>
      <c r="C23" s="59">
        <f t="shared" ref="C23:L23" si="23">C$3-C$5-C$9</f>
        <v>6165</v>
      </c>
      <c r="D23" s="88">
        <f t="shared" si="23"/>
        <v>6126</v>
      </c>
      <c r="E23" s="88">
        <f t="shared" si="23"/>
        <v>6106</v>
      </c>
      <c r="F23" s="59">
        <f t="shared" si="23"/>
        <v>6100</v>
      </c>
      <c r="G23" s="59">
        <f t="shared" si="23"/>
        <v>6000</v>
      </c>
      <c r="H23" s="59">
        <f t="shared" si="23"/>
        <v>5979</v>
      </c>
      <c r="I23" s="3">
        <f t="shared" si="23"/>
        <v>3750</v>
      </c>
      <c r="J23" s="3">
        <f t="shared" si="23"/>
        <v>4260</v>
      </c>
      <c r="K23" s="22">
        <f t="shared" si="23"/>
        <v>3555</v>
      </c>
      <c r="L23" s="63">
        <f t="shared" si="23"/>
        <v>3844</v>
      </c>
    </row>
    <row r="24" spans="1:12" x14ac:dyDescent="0.35">
      <c r="A24" s="83"/>
      <c r="B24" s="3">
        <f>(B$4-B$5-B$9)/0.1</f>
        <v>5600</v>
      </c>
      <c r="C24" s="3">
        <f t="shared" ref="C24:L24" si="24">(C$4-C$5-C$9)/0.1</f>
        <v>4350</v>
      </c>
      <c r="D24" s="59">
        <f t="shared" si="24"/>
        <v>6480</v>
      </c>
      <c r="E24" s="59">
        <f t="shared" si="24"/>
        <v>6630</v>
      </c>
      <c r="F24" s="88">
        <f t="shared" si="24"/>
        <v>5670</v>
      </c>
      <c r="G24" s="3">
        <f t="shared" si="24"/>
        <v>4360</v>
      </c>
      <c r="H24" s="3">
        <f t="shared" si="24"/>
        <v>3490</v>
      </c>
      <c r="I24" s="59">
        <f t="shared" si="24"/>
        <v>9000</v>
      </c>
      <c r="J24" s="59">
        <f t="shared" si="24"/>
        <v>5000</v>
      </c>
      <c r="K24" s="59">
        <f t="shared" si="24"/>
        <v>6950</v>
      </c>
      <c r="L24" s="57">
        <f t="shared" si="24"/>
        <v>6040</v>
      </c>
    </row>
    <row r="25" spans="1:12" x14ac:dyDescent="0.35">
      <c r="A25" s="83" t="s">
        <v>43</v>
      </c>
      <c r="B25" s="29">
        <f>B$3-B$5-B$10</f>
        <v>6520</v>
      </c>
      <c r="C25" s="3">
        <f t="shared" ref="C25:L25" si="25">C$3-C$5-C$10</f>
        <v>6365</v>
      </c>
      <c r="D25" s="88">
        <f>D$3-D$5-D$10</f>
        <v>6326</v>
      </c>
      <c r="E25" s="88">
        <f>E$3-E$5-E$10</f>
        <v>6306</v>
      </c>
      <c r="F25" s="88">
        <f>F$3-F$5-F$10</f>
        <v>6300</v>
      </c>
      <c r="G25" s="3">
        <f t="shared" si="25"/>
        <v>6200</v>
      </c>
      <c r="H25" s="59">
        <f t="shared" si="25"/>
        <v>6179</v>
      </c>
      <c r="I25" s="3">
        <f t="shared" si="25"/>
        <v>3950</v>
      </c>
      <c r="J25" s="3">
        <f t="shared" si="25"/>
        <v>4460</v>
      </c>
      <c r="K25" s="22">
        <f t="shared" si="25"/>
        <v>3785</v>
      </c>
      <c r="L25" s="63">
        <f t="shared" si="25"/>
        <v>4074</v>
      </c>
    </row>
    <row r="26" spans="1:12" ht="15" thickBot="1" x14ac:dyDescent="0.4">
      <c r="A26" s="84"/>
      <c r="B26" s="60">
        <f>(B$4-B$5-B$10)/0.1</f>
        <v>7600</v>
      </c>
      <c r="C26" s="61">
        <f t="shared" ref="C26:L26" si="26">(C$4-C$5-C$10)/0.1</f>
        <v>6350</v>
      </c>
      <c r="D26" s="61">
        <f t="shared" si="26"/>
        <v>8480</v>
      </c>
      <c r="E26" s="61">
        <f t="shared" si="26"/>
        <v>8630</v>
      </c>
      <c r="F26" s="61">
        <f t="shared" si="26"/>
        <v>7670</v>
      </c>
      <c r="G26" s="61">
        <f t="shared" si="26"/>
        <v>6360</v>
      </c>
      <c r="H26" s="89">
        <f t="shared" si="26"/>
        <v>5490</v>
      </c>
      <c r="I26" s="61">
        <f t="shared" si="26"/>
        <v>11000</v>
      </c>
      <c r="J26" s="61">
        <f t="shared" si="26"/>
        <v>7000</v>
      </c>
      <c r="K26" s="61">
        <f t="shared" si="26"/>
        <v>9250</v>
      </c>
      <c r="L26" s="62">
        <f t="shared" si="26"/>
        <v>8340</v>
      </c>
    </row>
  </sheetData>
  <mergeCells count="8">
    <mergeCell ref="A21:A22"/>
    <mergeCell ref="A23:A24"/>
    <mergeCell ref="A25:A26"/>
    <mergeCell ref="A11:A12"/>
    <mergeCell ref="A13:A14"/>
    <mergeCell ref="A15:A16"/>
    <mergeCell ref="A17:A18"/>
    <mergeCell ref="A19:A20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FA52B-FA85-4107-8B1A-3881C0269A4A}">
  <dimension ref="B2:P13"/>
  <sheetViews>
    <sheetView workbookViewId="0">
      <selection activeCell="D17" sqref="D17"/>
    </sheetView>
  </sheetViews>
  <sheetFormatPr defaultRowHeight="14.5" x14ac:dyDescent="0.35"/>
  <cols>
    <col min="2" max="2" width="3.54296875" bestFit="1" customWidth="1"/>
    <col min="3" max="3" width="8.36328125" bestFit="1" customWidth="1"/>
    <col min="4" max="4" width="5" bestFit="1" customWidth="1"/>
    <col min="5" max="5" width="7.1796875" bestFit="1" customWidth="1"/>
    <col min="6" max="6" width="5.81640625" bestFit="1" customWidth="1"/>
    <col min="7" max="7" width="7.36328125" customWidth="1"/>
    <col min="8" max="8" width="4.6328125" bestFit="1" customWidth="1"/>
    <col min="9" max="9" width="2.81640625" bestFit="1" customWidth="1"/>
    <col min="10" max="10" width="3.90625" bestFit="1" customWidth="1"/>
    <col min="11" max="11" width="1.81640625" bestFit="1" customWidth="1"/>
    <col min="12" max="12" width="4.36328125" bestFit="1" customWidth="1"/>
    <col min="13" max="13" width="9.6328125" bestFit="1" customWidth="1"/>
    <col min="14" max="14" width="1.81640625" bestFit="1" customWidth="1"/>
    <col min="15" max="15" width="5.453125" bestFit="1" customWidth="1"/>
    <col min="16" max="16" width="13.7265625" bestFit="1" customWidth="1"/>
  </cols>
  <sheetData>
    <row r="2" spans="2:16" x14ac:dyDescent="0.35">
      <c r="B2">
        <v>33</v>
      </c>
      <c r="C2" t="s">
        <v>46</v>
      </c>
      <c r="D2">
        <v>17</v>
      </c>
      <c r="E2" t="s">
        <v>47</v>
      </c>
      <c r="F2">
        <f>(B2-D2)/2*25.4</f>
        <v>203.2</v>
      </c>
      <c r="G2" t="s">
        <v>48</v>
      </c>
    </row>
    <row r="4" spans="2:16" x14ac:dyDescent="0.35">
      <c r="B4" s="65" t="s">
        <v>51</v>
      </c>
      <c r="C4" s="1">
        <v>285</v>
      </c>
      <c r="D4" t="s">
        <v>52</v>
      </c>
      <c r="E4" s="66">
        <f>F$2/C4</f>
        <v>0.71298245614035083</v>
      </c>
      <c r="F4" t="s">
        <v>53</v>
      </c>
      <c r="H4" t="s">
        <v>54</v>
      </c>
      <c r="I4" s="68">
        <f>MROUND(E4,0.05)*100</f>
        <v>70</v>
      </c>
      <c r="J4" t="s">
        <v>50</v>
      </c>
      <c r="K4" s="65" t="s">
        <v>49</v>
      </c>
      <c r="L4" s="67">
        <f>(C4*I4/100*2/25.4)+17</f>
        <v>32.708661417322837</v>
      </c>
      <c r="M4" t="s">
        <v>57</v>
      </c>
    </row>
    <row r="5" spans="2:16" x14ac:dyDescent="0.35">
      <c r="B5" t="s">
        <v>51</v>
      </c>
      <c r="C5" s="1">
        <v>275</v>
      </c>
      <c r="D5" t="s">
        <v>52</v>
      </c>
      <c r="E5" s="66">
        <f>F$2/C5</f>
        <v>0.73890909090909085</v>
      </c>
      <c r="F5" t="s">
        <v>53</v>
      </c>
      <c r="H5" t="s">
        <v>55</v>
      </c>
      <c r="I5" s="68">
        <f t="shared" ref="I5:I9" si="0">MROUND(E5,0.05)*100</f>
        <v>75</v>
      </c>
      <c r="J5" t="s">
        <v>50</v>
      </c>
      <c r="K5" t="s">
        <v>49</v>
      </c>
      <c r="L5" s="67">
        <f t="shared" ref="L5:L6" si="1">(C5*I5/100*2/25.4)+17</f>
        <v>33.240157480314963</v>
      </c>
      <c r="M5" t="s">
        <v>57</v>
      </c>
    </row>
    <row r="6" spans="2:16" x14ac:dyDescent="0.35">
      <c r="B6" t="s">
        <v>51</v>
      </c>
      <c r="C6" s="1">
        <v>265</v>
      </c>
      <c r="D6" t="s">
        <v>52</v>
      </c>
      <c r="E6" s="66">
        <f>F$2/C6</f>
        <v>0.7667924528301886</v>
      </c>
      <c r="F6" t="s">
        <v>53</v>
      </c>
      <c r="H6" t="s">
        <v>56</v>
      </c>
      <c r="I6" s="68">
        <f t="shared" si="0"/>
        <v>75</v>
      </c>
      <c r="J6" t="s">
        <v>50</v>
      </c>
      <c r="K6" t="s">
        <v>49</v>
      </c>
      <c r="L6" s="67">
        <f t="shared" si="1"/>
        <v>32.6496062992126</v>
      </c>
      <c r="M6" t="s">
        <v>57</v>
      </c>
    </row>
    <row r="7" spans="2:16" x14ac:dyDescent="0.35">
      <c r="E7" s="66"/>
      <c r="H7" t="s">
        <v>56</v>
      </c>
      <c r="I7" s="68">
        <f>ROUNDUP(E6,1)*100</f>
        <v>80</v>
      </c>
      <c r="J7" t="s">
        <v>50</v>
      </c>
      <c r="K7" s="65" t="s">
        <v>49</v>
      </c>
      <c r="L7" s="67">
        <f>(C6*I7/100*2/25.4)+17</f>
        <v>33.69291338582677</v>
      </c>
      <c r="M7" t="s">
        <v>57</v>
      </c>
    </row>
    <row r="8" spans="2:16" x14ac:dyDescent="0.35">
      <c r="B8" t="s">
        <v>51</v>
      </c>
      <c r="C8" s="1">
        <v>255</v>
      </c>
      <c r="D8" t="s">
        <v>52</v>
      </c>
      <c r="E8" s="66">
        <f t="shared" ref="E8:E9" si="2">F$2/C8</f>
        <v>0.79686274509803912</v>
      </c>
      <c r="F8" t="s">
        <v>53</v>
      </c>
      <c r="H8" t="s">
        <v>58</v>
      </c>
      <c r="I8" s="68">
        <f t="shared" si="0"/>
        <v>80</v>
      </c>
      <c r="J8" t="s">
        <v>50</v>
      </c>
      <c r="K8" s="65" t="s">
        <v>49</v>
      </c>
      <c r="L8" s="67">
        <f>(C8*I8/100*2/25.4)+17</f>
        <v>33.062992125984252</v>
      </c>
      <c r="M8" t="s">
        <v>57</v>
      </c>
    </row>
    <row r="9" spans="2:16" x14ac:dyDescent="0.35">
      <c r="B9" t="s">
        <v>51</v>
      </c>
      <c r="C9" s="1">
        <v>245</v>
      </c>
      <c r="D9" t="s">
        <v>52</v>
      </c>
      <c r="E9" s="66">
        <f t="shared" si="2"/>
        <v>0.82938775510204077</v>
      </c>
      <c r="F9" t="s">
        <v>53</v>
      </c>
      <c r="H9" t="s">
        <v>60</v>
      </c>
      <c r="I9" s="68">
        <f t="shared" si="0"/>
        <v>85.000000000000014</v>
      </c>
      <c r="J9" t="s">
        <v>50</v>
      </c>
      <c r="K9" t="s">
        <v>49</v>
      </c>
      <c r="L9" s="67">
        <f>(C9*I9/100*2/25.4)+17</f>
        <v>33.397637795275593</v>
      </c>
      <c r="M9" t="s">
        <v>57</v>
      </c>
    </row>
    <row r="11" spans="2:16" x14ac:dyDescent="0.35">
      <c r="B11" t="s">
        <v>61</v>
      </c>
      <c r="H11">
        <v>265</v>
      </c>
      <c r="I11">
        <v>75</v>
      </c>
      <c r="J11" t="s">
        <v>50</v>
      </c>
      <c r="K11" t="s">
        <v>49</v>
      </c>
      <c r="L11" s="67">
        <f>(H11*I11/100*2/25.4)+17</f>
        <v>32.6496062992126</v>
      </c>
      <c r="M11" t="s">
        <v>57</v>
      </c>
      <c r="N11" s="65" t="s">
        <v>49</v>
      </c>
      <c r="O11" s="69">
        <f>L11/L12-1</f>
        <v>1.8420729460886687E-2</v>
      </c>
      <c r="P11" t="s">
        <v>63</v>
      </c>
    </row>
    <row r="12" spans="2:16" x14ac:dyDescent="0.35">
      <c r="B12" t="s">
        <v>59</v>
      </c>
      <c r="H12">
        <v>255</v>
      </c>
      <c r="I12">
        <v>75</v>
      </c>
      <c r="J12" t="s">
        <v>50</v>
      </c>
      <c r="K12" s="65" t="s">
        <v>49</v>
      </c>
      <c r="L12" s="67">
        <f>(H12*I12/100*2/25.4)+17</f>
        <v>32.059055118110237</v>
      </c>
      <c r="M12" t="s">
        <v>57</v>
      </c>
    </row>
    <row r="13" spans="2:16" x14ac:dyDescent="0.35">
      <c r="B13" t="s">
        <v>62</v>
      </c>
      <c r="H13">
        <v>245</v>
      </c>
      <c r="I13">
        <v>75</v>
      </c>
      <c r="J13" t="s">
        <v>50</v>
      </c>
      <c r="K13" s="65" t="s">
        <v>49</v>
      </c>
      <c r="L13" s="67">
        <f>(H13*I13/100*2/25.4)+17</f>
        <v>31.468503937007874</v>
      </c>
      <c r="M13" t="s">
        <v>57</v>
      </c>
      <c r="N13" s="65" t="s">
        <v>49</v>
      </c>
      <c r="O13" s="69">
        <f>L13/L12-1</f>
        <v>-1.8420729460886687E-2</v>
      </c>
      <c r="P13" t="s">
        <v>63</v>
      </c>
    </row>
  </sheetData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Bronco Stats</vt:lpstr>
      <vt:lpstr>Vehicle Comparisons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Nunya Biznatch</dc:creator>
  <cp:lastModifiedBy>carli</cp:lastModifiedBy>
  <dcterms:created xsi:type="dcterms:W3CDTF">2015-06-05T18:17:20Z</dcterms:created>
  <dcterms:modified xsi:type="dcterms:W3CDTF">2021-04-18T22:38:51Z</dcterms:modified>
</cp:coreProperties>
</file>